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ết tính" state="visible" r:id="rId4"/>
    <sheet sheetId="2" name="Hướng dẫn" state="visible" r:id="rId5"/>
  </sheets>
  <definedNames>
    <definedName name="_xlnm.Print_Area" localSheetId="0">'Chiết tính'!$A1:$H78</definedName>
  </definedNames>
  <calcPr calcId="171027" fullCalcOnLoad="1"/>
</workbook>
</file>

<file path=xl/sharedStrings.xml><?xml version="1.0" encoding="utf-8"?>
<sst xmlns="http://schemas.openxmlformats.org/spreadsheetml/2006/main" count="183" uniqueCount="146">
  <si>
    <t>BẢNG CHIẾT TÍNH GIÁ TOUR</t>
  </si>
  <si>
    <t>Ô chữ xanh trên nền vàng: điền theo đoàn của anh/chị. Ô chữ đen: công thức tự tính, không cần sửa. Mọi tên đoàn, giá và số khách trong mẫu là ví dụ giả định, không phải giá thị trường.</t>
  </si>
  <si>
    <t>Mẫu của TourWell (tourwell.vn), phần mềm quản lý công ty lữ hành. Bài hướng dẫn: tourwell.vn/post/16-mau-chiet-tinh-gia-tour-tren-tren-excel-tai-ve-dung-duoc-ngay.html</t>
  </si>
  <si>
    <t>1. THÔNG TIN ĐOÀN</t>
  </si>
  <si>
    <t>Tên đoàn</t>
  </si>
  <si>
    <t>Công ty ABC (ví dụ giả định)</t>
  </si>
  <si>
    <t>Chương trình</t>
  </si>
  <si>
    <t>Hà Nội – Hạ Long 2 ngày 1 đêm, xe ô tô, khách sạn 4 sao</t>
  </si>
  <si>
    <t>Số ngày</t>
  </si>
  <si>
    <t>Dùng cho số lần ở các dòng tính theo ngày (nước uống, bảo hiểm).</t>
  </si>
  <si>
    <t>Số đêm</t>
  </si>
  <si>
    <t>Dùng cho số lần ở dòng tiền phòng và phụ thu phòng đơn.</t>
  </si>
  <si>
    <t>Ngày khởi hành</t>
  </si>
  <si>
    <t>Người lập / ngày lập</t>
  </si>
  <si>
    <t>[Họ tên]  –  [ngày lập]</t>
  </si>
  <si>
    <t>2. THAM SỐ TÍNH GIÁ</t>
  </si>
  <si>
    <t>Lãi mong muốn</t>
  </si>
  <si>
    <t>Tỷ lệ lãi công ty muốn giữ lại trên mỗi khách.</t>
  </si>
  <si>
    <t>Cách tính lãi</t>
  </si>
  <si>
    <t>Trên giá bán</t>
  </si>
  <si>
    <t>Trên giá bán: giá bán = giá vốn / (1 – lãi). Trên giá vốn: giá bán = giá vốn × (1 + lãi). Cùng 12% nhưng hai cách ra hai giá khác nhau.</t>
  </si>
  <si>
    <t>Số khách trả tiền để được 1 suất FOC</t>
  </si>
  <si>
    <t>Ví dụ 20: đoàn đủ 20 khách trả tiền thì 1 người (trưởng đoàn) đi miễn phí. Nhập 0 nếu không tặng FOC.</t>
  </si>
  <si>
    <t>Làm tròn giá bán lên đến</t>
  </si>
  <si>
    <t>Giá mỗi khách được làm tròn lên bội số của số này (đồng).</t>
  </si>
  <si>
    <t>Cộng lãi vào phụ thu phòng đơn</t>
  </si>
  <si>
    <t>Không</t>
  </si>
  <si>
    <t>Không: thu đúng phần chênh giá vốn. Có: tính lãi như giá tour.</t>
  </si>
  <si>
    <t>Thuế GTGT cộng thêm vào giá bán</t>
  </si>
  <si>
    <t>Để 0% nếu giá báo khách đã gồm thuế. Cách tính thuế GTGT cho tour trong nước và nước ngoài khác nhau: hỏi kế toán của công ty.</t>
  </si>
  <si>
    <t>3. CHI PHÍ CỐ ĐỊNH (tính cho cả đoàn, chia đều cho số khách trả tiền)</t>
  </si>
  <si>
    <t>STT</t>
  </si>
  <si>
    <t>Khoản mục</t>
  </si>
  <si>
    <t>Đơn vị</t>
  </si>
  <si>
    <t>Số lượng</t>
  </si>
  <si>
    <t>Số lần</t>
  </si>
  <si>
    <t>Đơn giá</t>
  </si>
  <si>
    <t>Thành tiền</t>
  </si>
  <si>
    <t>Ghi chú</t>
  </si>
  <si>
    <t>Tàu tham quan vịnh Hạ Long (thuê nguyên chiếc)</t>
  </si>
  <si>
    <t>chiếc</t>
  </si>
  <si>
    <t>Tàu 45 khách, tour 4–5 tiếng</t>
  </si>
  <si>
    <t>Công tác phí hướng dẫn viên</t>
  </si>
  <si>
    <t>người</t>
  </si>
  <si>
    <t>Số lần = số ngày</t>
  </si>
  <si>
    <t>Phòng nội bộ cho hướng dẫn viên và lái xe</t>
  </si>
  <si>
    <t>phòng</t>
  </si>
  <si>
    <t>Số lần = số đêm</t>
  </si>
  <si>
    <t>Ăn của hướng dẫn viên và lái xe</t>
  </si>
  <si>
    <t>Số lần = số bữa</t>
  </si>
  <si>
    <t>Băng rôn đoàn</t>
  </si>
  <si>
    <t>cái</t>
  </si>
  <si>
    <t/>
  </si>
  <si>
    <t>Dòng trống: thêm khoản cố định khác nếu có</t>
  </si>
  <si>
    <t>Cộng chi phí cố định (chưa gồm xe)</t>
  </si>
  <si>
    <t>Giá xe đổi theo cỡ xe nên nhập riêng cho từng mức số khách ở mục 6.</t>
  </si>
  <si>
    <t>4. CHI PHÍ BIẾN ĐỔI (tính cho 1 khách)</t>
  </si>
  <si>
    <t>Thành tiền / khách</t>
  </si>
  <si>
    <t>Khách sạn 4 sao Bãi Cháy, phòng đôi (2 khách/phòng)</t>
  </si>
  <si>
    <t>Đơn giá = giá 1 phòng đôi/đêm; số lượng 0,5 = mỗi khách chịu nửa phòng. Đã gồm ăn sáng</t>
  </si>
  <si>
    <t>Ăn chính</t>
  </si>
  <si>
    <t>bữa</t>
  </si>
  <si>
    <t>2 trưa, 1 tối, 1 bữa trên tàu</t>
  </si>
  <si>
    <t>Vé thắng cảnh vịnh Hạ Long</t>
  </si>
  <si>
    <t>vé</t>
  </si>
  <si>
    <t>Vé cáp treo Nữ Hoàng – Sun World</t>
  </si>
  <si>
    <t>Nước uống</t>
  </si>
  <si>
    <t>chai</t>
  </si>
  <si>
    <t>2 chai mỗi ngày</t>
  </si>
  <si>
    <t>Bảo hiểm du lịch</t>
  </si>
  <si>
    <t>ngày</t>
  </si>
  <si>
    <t>Mũ du lịch</t>
  </si>
  <si>
    <t>Dòng trống: thêm khoản theo đầu khách khác nếu có</t>
  </si>
  <si>
    <t>Cộng chi phí biến đổi mỗi khách</t>
  </si>
  <si>
    <t>5. PHỤ THU PHÒNG ĐƠN</t>
  </si>
  <si>
    <t>Giá phòng ở 1 người mỗi đêm</t>
  </si>
  <si>
    <t>Giá khách sạn báo cho phòng đôi bán cho 1 người.</t>
  </si>
  <si>
    <t>Phần tiền phòng mỗi khách đã có trong giá tour (mỗi đêm)</t>
  </si>
  <si>
    <t>Lấy từ dòng khách sạn ở mục 4: giá phòng đôi × 0,5.</t>
  </si>
  <si>
    <t>Chênh lệch giá vốn</t>
  </si>
  <si>
    <t>Phụ thu phòng đơn báo khách</t>
  </si>
  <si>
    <t>Theo ô D18 ở mục 2. Đã làm tròn như giá tour.</t>
  </si>
  <si>
    <t>6. BẢNG GIÁ BÁN THEO MỨC SỐ KHÁCH</t>
  </si>
  <si>
    <t>Mức số khách</t>
  </si>
  <si>
    <t>Mức 1</t>
  </si>
  <si>
    <t>Mức 2</t>
  </si>
  <si>
    <t>Mức 3</t>
  </si>
  <si>
    <t>Mức 4</t>
  </si>
  <si>
    <t>Từ (khách trả tiền)</t>
  </si>
  <si>
    <t>Giá mỗi mức tính theo số khách thấp nhất của mức đó, để đoàn rơi xuống đáy mức vẫn không lỗ.</t>
  </si>
  <si>
    <t>Đến (khách trả tiền)</t>
  </si>
  <si>
    <t>Loại xe</t>
  </si>
  <si>
    <t>Xe 16 chỗ</t>
  </si>
  <si>
    <t>Xe 29 chỗ</t>
  </si>
  <si>
    <t>Xe 35 chỗ</t>
  </si>
  <si>
    <t>Xe 45 chỗ</t>
  </si>
  <si>
    <t>Xe phải đủ chỗ cho cả khách, FOC và hướng dẫn viên.</t>
  </si>
  <si>
    <t>Giá xe trọn tuyến</t>
  </si>
  <si>
    <t>Số khách tính giá</t>
  </si>
  <si>
    <t>Lấy mức thấp nhất của từng mức.</t>
  </si>
  <si>
    <t>Số suất FOC</t>
  </si>
  <si>
    <t>Số khách trả tiền chia cho ô D16, lấy phần nguyên.</t>
  </si>
  <si>
    <t>Chi phí cố định cả đoàn (gồm xe)</t>
  </si>
  <si>
    <t>Chi phí cố định chia mỗi khách</t>
  </si>
  <si>
    <t>Chia cho số khách trả tiền, không chia cho FOC.</t>
  </si>
  <si>
    <t>Chi phí biến đổi mỗi khách</t>
  </si>
  <si>
    <t>Chi phí FOC chia mỗi khách</t>
  </si>
  <si>
    <t>Suất FOC chịu đủ chi phí biến đổi, chia cho khách trả tiền.</t>
  </si>
  <si>
    <t>Giá vốn mỗi khách</t>
  </si>
  <si>
    <t>Giá bán chưa làm tròn</t>
  </si>
  <si>
    <t>GIÁ BÁN MỖI KHÁCH (đã làm tròn)</t>
  </si>
  <si>
    <t>Số chép sang báo giá gửi khách.</t>
  </si>
  <si>
    <t>Lãi mỗi khách</t>
  </si>
  <si>
    <t>Sau khi làm tròn; đã trừ thuế cộng thêm nếu có.</t>
  </si>
  <si>
    <t>Tỷ lệ lãi trên giá bán</t>
  </si>
  <si>
    <t>7. KIỂM TRA LÃI THEO SỐ KHÁCH THỰC TẾ</t>
  </si>
  <si>
    <t>Số khách trả tiền thực tế</t>
  </si>
  <si>
    <t>Nhập số khách đoàn chốt để xem đoàn rơi vào mức nào và lãi thật là bao nhiêu.</t>
  </si>
  <si>
    <t>Rơi vào mức</t>
  </si>
  <si>
    <t>0 nghĩa là số khách nằm ngoài các mức đã khai: cần chiết tính lại.</t>
  </si>
  <si>
    <t>Giá bán mỗi khách theo mức</t>
  </si>
  <si>
    <t>Doanh thu (chưa gồm thuế cộng thêm, chưa gồm phụ thu)</t>
  </si>
  <si>
    <t>Tổng chi phí của đoàn</t>
  </si>
  <si>
    <t>Lãi của đoàn</t>
  </si>
  <si>
    <t>Đoàn càng gần mức trên của khoảng, lãi thật càng cao hơn lãi mong muốn.</t>
  </si>
  <si>
    <t>Tỷ lệ lãi trên doanh thu</t>
  </si>
  <si>
    <t>Cách dùng mẫu chiết tính giá tour</t>
  </si>
  <si>
    <t>1</t>
  </si>
  <si>
    <t>Mục 1: điền tên đoàn, chương trình, số ngày, số đêm. Số ngày và số đêm tự đi vào các dòng tính theo ngày, theo đêm.</t>
  </si>
  <si>
    <t>2</t>
  </si>
  <si>
    <t>Mục 2: đặt lãi mong muốn, chọn cách tính lãi (trên giá bán hoặc trên giá vốn), chính sách FOC, mức làm tròn và thuế cộng thêm nếu có.</t>
  </si>
  <si>
    <t>3</t>
  </si>
  <si>
    <t>Mục 3: kê các khoản tính cho cả đoàn, không đổi theo số khách (tàu thuê nguyên chiếc, hướng dẫn viên, phòng và ăn của hướng dẫn viên, lái xe...). Riêng xe nhập ở mục 6 vì cỡ xe đổi theo số khách.</t>
  </si>
  <si>
    <t>4</t>
  </si>
  <si>
    <t>Mục 4: kê các khoản tính theo đầu khách (phòng, ăn, vé tham quan, bảo hiểm, nước...). Phòng đôi nhập giá cả phòng, số lượng 0,5.</t>
  </si>
  <si>
    <t>5</t>
  </si>
  <si>
    <t>Mục 5: nhập giá phòng ở 1 người để ra phụ thu phòng đơn.</t>
  </si>
  <si>
    <t>6</t>
  </si>
  <si>
    <t>Mục 6: khai các mức số khách và giá xe từng mức. Dòng "Giá bán mỗi khách (đã làm tròn)" là số chép sang báo giá gửi khách.</t>
  </si>
  <si>
    <t>7</t>
  </si>
  <si>
    <t>Mục 7: khi đoàn chốt số khách, nhập số khách thực tế để xem đoàn rơi vào mức nào và lãi thật bao nhiêu.</t>
  </si>
  <si>
    <t>8</t>
  </si>
  <si>
    <t>Mọi tên đoàn, giá và số khách trong mẫu là ví dụ giả định. Thay bằng giá nhà cung cấp của công ty mình trước khi dùng.</t>
  </si>
  <si>
    <t>Bài hướng dẫn chiết tính giá tour: https://tourwell.vn/post/16-mau-chiet-tinh-gia-tour-tren-tren-excel-tai-ve-dung-duoc-ngay.html</t>
  </si>
  <si>
    <t>Mẫu báo giá tour gửi khách: https://tourwell.vn/post/32-mau-bao-gia-tour-gui-khach-va-cach-trinh-bay-de-khach-chot.html</t>
  </si>
  <si>
    <t>Tính giá nhiều phương án, nhiều mức số khách và báo giá có duyệt trên TourWell: https://tourwell.vn/feature/sales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</si>
</sst>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0.0%"/>
    <numFmt numFmtId="166" formatCode="#,##0;-#,##0;&quot;-&quot;"/>
    <numFmt numFmtId="167" formatCode="#,##0.0#"/>
  </numFmts>
  <fonts count="10" x14ac:knownFonts="1">
    <font>
      <color theme="1"/>
      <family val="2"/>
      <scheme val="minor"/>
      <sz val="11"/>
      <name val="Calibri"/>
    </font>
    <font>
      <b/>
      <color rgb="FF1F4E5F"/>
      <sz val="16"/>
      <name val="Arial"/>
    </font>
    <font>
      <i/>
      <color rgb="FF6B7280"/>
      <sz val="9"/>
      <name val="Arial"/>
    </font>
    <font>
      <b/>
      <color rgb="FFFFFFFF"/>
      <sz val="11"/>
      <name val="Arial"/>
    </font>
    <font>
      <b/>
      <sz val="10"/>
      <name val="Arial"/>
    </font>
    <font>
      <color rgb="FF0000FF"/>
      <sz val="10"/>
      <name val="Arial"/>
    </font>
    <font>
      <sz val="10"/>
      <name val="Arial"/>
    </font>
    <font>
      <color rgb="FF000000"/>
      <sz val="10"/>
      <name val="Arial"/>
    </font>
    <font>
      <b/>
      <color rgb="FF000000"/>
      <sz val="10"/>
      <name val="Arial"/>
    </font>
    <font>
      <b/>
      <sz val="14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FFF6D5"/>
      </patternFill>
    </fill>
    <fill>
      <patternFill patternType="solid">
        <fgColor rgb="FFE5ECEF"/>
      </patternFill>
    </fill>
    <fill>
      <patternFill patternType="solid">
        <fgColor rgb="FFDCEFE3"/>
      </patternFill>
    </fill>
  </fills>
  <borders count="2">
    <border>
      <left/>
      <right/>
      <top/>
      <bottom/>
      <diagonal/>
    </border>
    <border>
      <left style="thin">
        <color rgb="FFBFC7CC"/>
      </left>
      <right style="thin">
        <color rgb="FFBFC7CC"/>
      </right>
      <top style="thin">
        <color rgb="FFBFC7CC"/>
      </top>
      <bottom style="thin">
        <color rgb="FFBFC7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/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" fontId="5" fillId="3" borderId="1" xfId="0" applyNumberFormat="1" applyFont="1" applyFill="1" applyBorder="1"/>
    <xf numFmtId="166" fontId="5" fillId="3" borderId="1" xfId="0" applyNumberFormat="1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5" fillId="3" borderId="1" xfId="0" applyNumberFormat="1" applyFont="1" applyFill="1" applyBorder="1"/>
    <xf numFmtId="166" fontId="7" fillId="0" borderId="1" xfId="0" applyNumberFormat="1" applyFont="1" applyBorder="1"/>
    <xf numFmtId="166" fontId="8" fillId="0" borderId="1" xfId="0" applyNumberFormat="1" applyFont="1" applyBorder="1"/>
    <xf numFmtId="167" fontId="5" fillId="3" borderId="1" xfId="0" applyNumberFormat="1" applyFont="1" applyFill="1" applyBorder="1"/>
    <xf numFmtId="3" fontId="7" fillId="0" borderId="1" xfId="0" applyNumberFormat="1" applyFont="1" applyBorder="1"/>
    <xf numFmtId="0" fontId="6" fillId="0" borderId="0" xfId="0" applyFont="1" applyAlignment="1">
      <alignment vertical="center" wrapText="1"/>
    </xf>
    <xf numFmtId="1" fontId="7" fillId="0" borderId="1" xfId="0" applyNumberFormat="1" applyFont="1" applyBorder="1"/>
    <xf numFmtId="166" fontId="8" fillId="5" borderId="1" xfId="0" applyNumberFormat="1" applyFont="1" applyFill="1" applyBorder="1"/>
    <xf numFmtId="165" fontId="7" fillId="0" borderId="1" xfId="0" applyNumberFormat="1" applyFont="1" applyBorder="1"/>
    <xf numFmtId="165" fontId="8" fillId="0" borderId="1" xfId="0" applyNumberFormat="1" applyFont="1" applyBorder="1"/>
    <xf numFmtId="0" fontId="4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10" customWidth="1"/>
    <col min="4" max="6" width="15" customWidth="1"/>
    <col min="7" max="7" width="16" customWidth="1"/>
    <col min="8" max="8" width="44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5" ht="20" customHeight="1" spans="1:8" x14ac:dyDescent="0.25">
      <c r="A5" s="3" t="s">
        <v>3</v>
      </c>
      <c r="B5" s="3"/>
      <c r="C5" s="3"/>
      <c r="D5" s="3"/>
      <c r="E5" s="3"/>
      <c r="F5" s="3"/>
      <c r="G5" s="3"/>
      <c r="H5" s="3"/>
    </row>
    <row r="6" spans="2:7" x14ac:dyDescent="0.25">
      <c r="B6" s="4" t="s">
        <v>4</v>
      </c>
      <c r="D6" s="5" t="s">
        <v>5</v>
      </c>
      <c r="E6" s="5"/>
      <c r="F6" s="5"/>
      <c r="G6" s="5"/>
    </row>
    <row r="7" spans="2:7" x14ac:dyDescent="0.25">
      <c r="B7" s="4" t="s">
        <v>6</v>
      </c>
      <c r="D7" s="5" t="s">
        <v>7</v>
      </c>
      <c r="E7" s="5"/>
      <c r="F7" s="5"/>
      <c r="G7" s="5"/>
    </row>
    <row r="8" spans="2:8" x14ac:dyDescent="0.25">
      <c r="B8" s="4" t="s">
        <v>8</v>
      </c>
      <c r="D8" s="5">
        <v>2</v>
      </c>
      <c r="H8" s="2" t="s">
        <v>9</v>
      </c>
    </row>
    <row r="9" spans="2:8" x14ac:dyDescent="0.25">
      <c r="B9" s="4" t="s">
        <v>10</v>
      </c>
      <c r="D9" s="5">
        <v>1</v>
      </c>
      <c r="H9" s="2" t="s">
        <v>11</v>
      </c>
    </row>
    <row r="10" spans="2:4" x14ac:dyDescent="0.25">
      <c r="B10" s="4" t="s">
        <v>12</v>
      </c>
      <c r="D10" s="6">
        <v>46368</v>
      </c>
    </row>
    <row r="11" spans="2:7" x14ac:dyDescent="0.25">
      <c r="B11" s="4" t="s">
        <v>13</v>
      </c>
      <c r="D11" s="5" t="s">
        <v>14</v>
      </c>
      <c r="E11" s="5"/>
      <c r="F11" s="5"/>
      <c r="G11" s="5"/>
    </row>
    <row r="13" ht="20" customHeight="1" spans="1:8" x14ac:dyDescent="0.25">
      <c r="A13" s="3" t="s">
        <v>15</v>
      </c>
      <c r="B13" s="3"/>
      <c r="C13" s="3"/>
      <c r="D13" s="3"/>
      <c r="E13" s="3"/>
      <c r="F13" s="3"/>
      <c r="G13" s="3"/>
      <c r="H13" s="3"/>
    </row>
    <row r="14" spans="2:8" x14ac:dyDescent="0.25">
      <c r="B14" s="4" t="s">
        <v>16</v>
      </c>
      <c r="D14" s="7">
        <v>0.12</v>
      </c>
      <c r="H14" s="2" t="s">
        <v>17</v>
      </c>
    </row>
    <row r="15" spans="2:8" x14ac:dyDescent="0.25">
      <c r="B15" s="4" t="s">
        <v>18</v>
      </c>
      <c r="D15" s="5" t="s">
        <v>19</v>
      </c>
      <c r="H15" s="2" t="s">
        <v>20</v>
      </c>
    </row>
    <row r="16" spans="2:8" x14ac:dyDescent="0.25">
      <c r="B16" s="4" t="s">
        <v>21</v>
      </c>
      <c r="D16" s="8">
        <v>20</v>
      </c>
      <c r="H16" s="2" t="s">
        <v>22</v>
      </c>
    </row>
    <row r="17" spans="2:8" x14ac:dyDescent="0.25">
      <c r="B17" s="4" t="s">
        <v>23</v>
      </c>
      <c r="D17" s="9">
        <v>50000</v>
      </c>
      <c r="H17" s="2" t="s">
        <v>24</v>
      </c>
    </row>
    <row r="18" spans="2:8" x14ac:dyDescent="0.25">
      <c r="B18" s="4" t="s">
        <v>25</v>
      </c>
      <c r="D18" s="5" t="s">
        <v>26</v>
      </c>
      <c r="H18" s="2" t="s">
        <v>27</v>
      </c>
    </row>
    <row r="19" spans="2:8" x14ac:dyDescent="0.25">
      <c r="B19" s="4" t="s">
        <v>28</v>
      </c>
      <c r="D19" s="7">
        <v>0</v>
      </c>
      <c r="H19" s="2" t="s">
        <v>29</v>
      </c>
    </row>
    <row r="21" ht="20" customHeight="1" spans="1:8" x14ac:dyDescent="0.25">
      <c r="A21" s="3" t="s">
        <v>30</v>
      </c>
      <c r="B21" s="3"/>
      <c r="C21" s="3"/>
      <c r="D21" s="3"/>
      <c r="E21" s="3"/>
      <c r="F21" s="3"/>
      <c r="G21" s="3"/>
      <c r="H21" s="3"/>
    </row>
    <row r="22" ht="28" customHeight="1" spans="1:8" x14ac:dyDescent="0.25">
      <c r="A22" s="10" t="s">
        <v>31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38</v>
      </c>
    </row>
    <row r="23" spans="1:8" x14ac:dyDescent="0.25">
      <c r="A23" s="11">
        <v>1</v>
      </c>
      <c r="B23" s="5" t="s">
        <v>39</v>
      </c>
      <c r="C23" s="5" t="s">
        <v>40</v>
      </c>
      <c r="D23" s="12">
        <v>1</v>
      </c>
      <c r="E23" s="12">
        <v>1</v>
      </c>
      <c r="F23" s="9">
        <v>3500000</v>
      </c>
      <c r="G23" s="13">
        <f>D23*E23*F23</f>
        <v>3500000</v>
      </c>
      <c r="H23" s="2" t="s">
        <v>41</v>
      </c>
    </row>
    <row r="24" spans="1:8" x14ac:dyDescent="0.25">
      <c r="A24" s="11">
        <v>2</v>
      </c>
      <c r="B24" s="5" t="s">
        <v>42</v>
      </c>
      <c r="C24" s="5" t="s">
        <v>43</v>
      </c>
      <c r="D24" s="12">
        <v>1</v>
      </c>
      <c r="E24" s="12">
        <v>2</v>
      </c>
      <c r="F24" s="9">
        <v>800000</v>
      </c>
      <c r="G24" s="13">
        <f>D24*E24*F24</f>
        <v>1600000</v>
      </c>
      <c r="H24" s="2" t="s">
        <v>44</v>
      </c>
    </row>
    <row r="25" spans="1:8" x14ac:dyDescent="0.25">
      <c r="A25" s="11">
        <v>3</v>
      </c>
      <c r="B25" s="5" t="s">
        <v>45</v>
      </c>
      <c r="C25" s="5" t="s">
        <v>46</v>
      </c>
      <c r="D25" s="12">
        <v>1</v>
      </c>
      <c r="E25" s="12">
        <v>1</v>
      </c>
      <c r="F25" s="9">
        <v>600000</v>
      </c>
      <c r="G25" s="13">
        <f>D25*E25*F25</f>
        <v>600000</v>
      </c>
      <c r="H25" s="2" t="s">
        <v>47</v>
      </c>
    </row>
    <row r="26" spans="1:8" x14ac:dyDescent="0.25">
      <c r="A26" s="11">
        <v>4</v>
      </c>
      <c r="B26" s="5" t="s">
        <v>48</v>
      </c>
      <c r="C26" s="5" t="s">
        <v>43</v>
      </c>
      <c r="D26" s="12">
        <v>2</v>
      </c>
      <c r="E26" s="12">
        <v>4</v>
      </c>
      <c r="F26" s="9">
        <v>100000</v>
      </c>
      <c r="G26" s="13">
        <f>D26*E26*F26</f>
        <v>800000</v>
      </c>
      <c r="H26" s="2" t="s">
        <v>49</v>
      </c>
    </row>
    <row r="27" spans="1:8" x14ac:dyDescent="0.25">
      <c r="A27" s="11">
        <v>5</v>
      </c>
      <c r="B27" s="5" t="s">
        <v>50</v>
      </c>
      <c r="C27" s="5" t="s">
        <v>51</v>
      </c>
      <c r="D27" s="12">
        <v>1</v>
      </c>
      <c r="E27" s="12">
        <v>1</v>
      </c>
      <c r="F27" s="9">
        <v>300000</v>
      </c>
      <c r="G27" s="13">
        <f>D27*E27*F27</f>
        <v>300000</v>
      </c>
      <c r="H27" s="2" t="s">
        <v>52</v>
      </c>
    </row>
    <row r="28" spans="1:8" x14ac:dyDescent="0.25">
      <c r="A28" s="11">
        <v>6</v>
      </c>
      <c r="B28" s="5" t="s">
        <v>52</v>
      </c>
      <c r="C28" s="5" t="s">
        <v>52</v>
      </c>
      <c r="D28" s="12"/>
      <c r="E28" s="12"/>
      <c r="F28" s="9"/>
      <c r="G28" s="13">
        <f>D28*E28*F28</f>
        <v>0</v>
      </c>
      <c r="H28" s="2" t="s">
        <v>53</v>
      </c>
    </row>
    <row r="29" spans="1:8" x14ac:dyDescent="0.25">
      <c r="A29" s="11">
        <v>7</v>
      </c>
      <c r="B29" s="5" t="s">
        <v>52</v>
      </c>
      <c r="C29" s="5" t="s">
        <v>52</v>
      </c>
      <c r="D29" s="12"/>
      <c r="E29" s="12"/>
      <c r="F29" s="9"/>
      <c r="G29" s="13">
        <f>D29*E29*F29</f>
        <v>0</v>
      </c>
      <c r="H29" s="2" t="s">
        <v>52</v>
      </c>
    </row>
    <row r="30" spans="2:8" x14ac:dyDescent="0.25">
      <c r="B30" s="4" t="s">
        <v>54</v>
      </c>
      <c r="G30" s="14">
        <f>SUM(G23:G29)</f>
        <v>6800000</v>
      </c>
      <c r="H30" s="2" t="s">
        <v>55</v>
      </c>
    </row>
    <row r="32" ht="20" customHeight="1" spans="1:8" x14ac:dyDescent="0.25">
      <c r="A32" s="3" t="s">
        <v>56</v>
      </c>
      <c r="B32" s="3"/>
      <c r="C32" s="3"/>
      <c r="D32" s="3"/>
      <c r="E32" s="3"/>
      <c r="F32" s="3"/>
      <c r="G32" s="3"/>
      <c r="H32" s="3"/>
    </row>
    <row r="33" ht="28" customHeight="1" spans="1:8" x14ac:dyDescent="0.25">
      <c r="A33" s="10" t="s">
        <v>31</v>
      </c>
      <c r="B33" s="10" t="s">
        <v>32</v>
      </c>
      <c r="C33" s="10" t="s">
        <v>33</v>
      </c>
      <c r="D33" s="10" t="s">
        <v>34</v>
      </c>
      <c r="E33" s="10" t="s">
        <v>35</v>
      </c>
      <c r="F33" s="10" t="s">
        <v>36</v>
      </c>
      <c r="G33" s="10" t="s">
        <v>57</v>
      </c>
      <c r="H33" s="10" t="s">
        <v>38</v>
      </c>
    </row>
    <row r="34" spans="1:8" x14ac:dyDescent="0.25">
      <c r="A34" s="11">
        <v>1</v>
      </c>
      <c r="B34" s="5" t="s">
        <v>58</v>
      </c>
      <c r="C34" s="5" t="s">
        <v>46</v>
      </c>
      <c r="D34" s="15">
        <v>0.5</v>
      </c>
      <c r="E34" s="16">
        <f>D9</f>
        <v>1</v>
      </c>
      <c r="F34" s="9">
        <v>1200000</v>
      </c>
      <c r="G34" s="13">
        <f>D34*E34*F34</f>
        <v>600000</v>
      </c>
      <c r="H34" s="2" t="s">
        <v>59</v>
      </c>
    </row>
    <row r="35" spans="1:8" x14ac:dyDescent="0.25">
      <c r="A35" s="11">
        <v>2</v>
      </c>
      <c r="B35" s="5" t="s">
        <v>60</v>
      </c>
      <c r="C35" s="5" t="s">
        <v>61</v>
      </c>
      <c r="D35" s="15">
        <v>1</v>
      </c>
      <c r="E35" s="12">
        <v>4</v>
      </c>
      <c r="F35" s="9">
        <v>200000</v>
      </c>
      <c r="G35" s="13">
        <f>D35*E35*F35</f>
        <v>800000</v>
      </c>
      <c r="H35" s="2" t="s">
        <v>62</v>
      </c>
    </row>
    <row r="36" spans="1:8" x14ac:dyDescent="0.25">
      <c r="A36" s="11">
        <v>3</v>
      </c>
      <c r="B36" s="5" t="s">
        <v>63</v>
      </c>
      <c r="C36" s="5" t="s">
        <v>64</v>
      </c>
      <c r="D36" s="15">
        <v>1</v>
      </c>
      <c r="E36" s="12">
        <v>1</v>
      </c>
      <c r="F36" s="9">
        <v>290000</v>
      </c>
      <c r="G36" s="13">
        <f>D36*E36*F36</f>
        <v>290000</v>
      </c>
      <c r="H36" s="2" t="s">
        <v>52</v>
      </c>
    </row>
    <row r="37" spans="1:8" x14ac:dyDescent="0.25">
      <c r="A37" s="11">
        <v>4</v>
      </c>
      <c r="B37" s="5" t="s">
        <v>65</v>
      </c>
      <c r="C37" s="5" t="s">
        <v>64</v>
      </c>
      <c r="D37" s="15">
        <v>1</v>
      </c>
      <c r="E37" s="12">
        <v>1</v>
      </c>
      <c r="F37" s="9">
        <v>350000</v>
      </c>
      <c r="G37" s="13">
        <f>D37*E37*F37</f>
        <v>350000</v>
      </c>
      <c r="H37" s="2" t="s">
        <v>52</v>
      </c>
    </row>
    <row r="38" spans="1:8" x14ac:dyDescent="0.25">
      <c r="A38" s="11">
        <v>5</v>
      </c>
      <c r="B38" s="5" t="s">
        <v>66</v>
      </c>
      <c r="C38" s="5" t="s">
        <v>67</v>
      </c>
      <c r="D38" s="15">
        <v>2</v>
      </c>
      <c r="E38" s="16">
        <f>D8</f>
        <v>2</v>
      </c>
      <c r="F38" s="9">
        <v>10000</v>
      </c>
      <c r="G38" s="13">
        <f>D38*E38*F38</f>
        <v>40000</v>
      </c>
      <c r="H38" s="2" t="s">
        <v>68</v>
      </c>
    </row>
    <row r="39" spans="1:8" x14ac:dyDescent="0.25">
      <c r="A39" s="11">
        <v>6</v>
      </c>
      <c r="B39" s="5" t="s">
        <v>69</v>
      </c>
      <c r="C39" s="5" t="s">
        <v>70</v>
      </c>
      <c r="D39" s="15">
        <v>1</v>
      </c>
      <c r="E39" s="16">
        <f>D8</f>
        <v>2</v>
      </c>
      <c r="F39" s="9">
        <v>5000</v>
      </c>
      <c r="G39" s="13">
        <f>D39*E39*F39</f>
        <v>10000</v>
      </c>
      <c r="H39" s="2" t="s">
        <v>52</v>
      </c>
    </row>
    <row r="40" spans="1:8" x14ac:dyDescent="0.25">
      <c r="A40" s="11">
        <v>7</v>
      </c>
      <c r="B40" s="5" t="s">
        <v>71</v>
      </c>
      <c r="C40" s="5" t="s">
        <v>51</v>
      </c>
      <c r="D40" s="15">
        <v>1</v>
      </c>
      <c r="E40" s="12">
        <v>1</v>
      </c>
      <c r="F40" s="9">
        <v>20000</v>
      </c>
      <c r="G40" s="13">
        <f>D40*E40*F40</f>
        <v>20000</v>
      </c>
      <c r="H40" s="2" t="s">
        <v>52</v>
      </c>
    </row>
    <row r="41" spans="1:8" x14ac:dyDescent="0.25">
      <c r="A41" s="11">
        <v>8</v>
      </c>
      <c r="B41" s="5" t="s">
        <v>52</v>
      </c>
      <c r="C41" s="5" t="s">
        <v>52</v>
      </c>
      <c r="D41" s="15"/>
      <c r="E41" s="12"/>
      <c r="F41" s="9"/>
      <c r="G41" s="13">
        <f>D41*E41*F41</f>
        <v>0</v>
      </c>
      <c r="H41" s="2" t="s">
        <v>72</v>
      </c>
    </row>
    <row r="42" spans="1:8" x14ac:dyDescent="0.25">
      <c r="A42" s="11">
        <v>9</v>
      </c>
      <c r="B42" s="5" t="s">
        <v>52</v>
      </c>
      <c r="C42" s="5" t="s">
        <v>52</v>
      </c>
      <c r="D42" s="15"/>
      <c r="E42" s="12"/>
      <c r="F42" s="9"/>
      <c r="G42" s="13">
        <f>D42*E42*F42</f>
        <v>0</v>
      </c>
      <c r="H42" s="2" t="s">
        <v>52</v>
      </c>
    </row>
    <row r="43" spans="2:7" x14ac:dyDescent="0.25">
      <c r="B43" s="4" t="s">
        <v>73</v>
      </c>
      <c r="G43" s="14">
        <f>SUM(G34:G42)</f>
        <v>2110000</v>
      </c>
    </row>
    <row r="45" ht="20" customHeight="1" spans="1:8" x14ac:dyDescent="0.25">
      <c r="A45" s="3" t="s">
        <v>74</v>
      </c>
      <c r="B45" s="3"/>
      <c r="C45" s="3"/>
      <c r="D45" s="3"/>
      <c r="E45" s="3"/>
      <c r="F45" s="3"/>
      <c r="G45" s="3"/>
      <c r="H45" s="3"/>
    </row>
    <row r="46" spans="2:8" x14ac:dyDescent="0.25">
      <c r="B46" s="17" t="s">
        <v>75</v>
      </c>
      <c r="G46" s="9">
        <v>1100000</v>
      </c>
      <c r="H46" s="2" t="s">
        <v>76</v>
      </c>
    </row>
    <row r="47" spans="2:8" x14ac:dyDescent="0.25">
      <c r="B47" s="17" t="s">
        <v>77</v>
      </c>
      <c r="G47" s="13">
        <f>F34*D34</f>
        <v>600000</v>
      </c>
      <c r="H47" s="2" t="s">
        <v>78</v>
      </c>
    </row>
    <row r="48" spans="2:7" x14ac:dyDescent="0.25">
      <c r="B48" s="17" t="s">
        <v>10</v>
      </c>
      <c r="G48" s="16">
        <f>D9</f>
        <v>1</v>
      </c>
    </row>
    <row r="49" spans="2:7" x14ac:dyDescent="0.25">
      <c r="B49" s="17" t="s">
        <v>79</v>
      </c>
      <c r="G49" s="13">
        <f>(G46-G47)*G48</f>
        <v>500000</v>
      </c>
    </row>
    <row r="50" spans="2:8" x14ac:dyDescent="0.25">
      <c r="B50" s="4" t="s">
        <v>80</v>
      </c>
      <c r="G50" s="14">
        <f>IF(D18="Có",ROUNDUP(IF(D15="Trên giá vốn",G49*(1+D14),G49/(1-D14))*(1+D19)/D17,0)*D17,ROUNDUP(G49*(1+D19)/D17,0)*D17)</f>
        <v>500000</v>
      </c>
      <c r="H50" s="2" t="s">
        <v>81</v>
      </c>
    </row>
    <row r="52" ht="20" customHeight="1" spans="1:8" x14ac:dyDescent="0.25">
      <c r="A52" s="3" t="s">
        <v>82</v>
      </c>
      <c r="B52" s="3"/>
      <c r="C52" s="3"/>
      <c r="D52" s="3"/>
      <c r="E52" s="3"/>
      <c r="F52" s="3"/>
      <c r="G52" s="3"/>
      <c r="H52" s="3"/>
    </row>
    <row r="53" ht="28" customHeight="1" spans="2:8" x14ac:dyDescent="0.25">
      <c r="B53" s="10" t="s">
        <v>83</v>
      </c>
      <c r="C53" s="10" t="s">
        <v>52</v>
      </c>
      <c r="D53" s="10" t="s">
        <v>84</v>
      </c>
      <c r="E53" s="10" t="s">
        <v>85</v>
      </c>
      <c r="F53" s="10" t="s">
        <v>86</v>
      </c>
      <c r="G53" s="10" t="s">
        <v>87</v>
      </c>
      <c r="H53" s="10" t="s">
        <v>38</v>
      </c>
    </row>
    <row r="54" spans="2:8" x14ac:dyDescent="0.25">
      <c r="B54" s="4" t="s">
        <v>88</v>
      </c>
      <c r="D54" s="8">
        <v>10</v>
      </c>
      <c r="E54" s="8">
        <v>15</v>
      </c>
      <c r="F54" s="8">
        <v>20</v>
      </c>
      <c r="G54" s="8">
        <v>30</v>
      </c>
      <c r="H54" s="2" t="s">
        <v>89</v>
      </c>
    </row>
    <row r="55" spans="2:7" x14ac:dyDescent="0.25">
      <c r="B55" s="4" t="s">
        <v>90</v>
      </c>
      <c r="D55" s="8">
        <v>14</v>
      </c>
      <c r="E55" s="8">
        <v>19</v>
      </c>
      <c r="F55" s="8">
        <v>29</v>
      </c>
      <c r="G55" s="8">
        <v>40</v>
      </c>
    </row>
    <row r="56" spans="2:8" x14ac:dyDescent="0.25">
      <c r="B56" s="4" t="s">
        <v>91</v>
      </c>
      <c r="D56" s="5" t="s">
        <v>92</v>
      </c>
      <c r="E56" s="5" t="s">
        <v>93</v>
      </c>
      <c r="F56" s="5" t="s">
        <v>94</v>
      </c>
      <c r="G56" s="5" t="s">
        <v>95</v>
      </c>
      <c r="H56" s="2" t="s">
        <v>96</v>
      </c>
    </row>
    <row r="57" spans="2:7" x14ac:dyDescent="0.25">
      <c r="B57" s="4" t="s">
        <v>97</v>
      </c>
      <c r="D57" s="9">
        <v>4500000</v>
      </c>
      <c r="E57" s="9">
        <v>6000000</v>
      </c>
      <c r="F57" s="9">
        <v>6800000</v>
      </c>
      <c r="G57" s="9">
        <v>7500000</v>
      </c>
    </row>
    <row r="58" spans="2:8" x14ac:dyDescent="0.25">
      <c r="B58" s="17" t="s">
        <v>98</v>
      </c>
      <c r="D58" s="18">
        <f>D54</f>
        <v>10</v>
      </c>
      <c r="E58" s="18">
        <f>E54</f>
        <v>15</v>
      </c>
      <c r="F58" s="18">
        <f>F54</f>
        <v>20</v>
      </c>
      <c r="G58" s="18">
        <f>G54</f>
        <v>30</v>
      </c>
      <c r="H58" s="2" t="s">
        <v>99</v>
      </c>
    </row>
    <row r="59" spans="2:8" x14ac:dyDescent="0.25">
      <c r="B59" s="17" t="s">
        <v>100</v>
      </c>
      <c r="D59" s="18">
        <f>IF($D$16&gt;0,INT(D58/$D$16),0)</f>
        <v>0</v>
      </c>
      <c r="E59" s="18">
        <f>IF($D$16&gt;0,INT(E58/$D$16),0)</f>
        <v>0</v>
      </c>
      <c r="F59" s="18">
        <f>IF($D$16&gt;0,INT(F58/$D$16),0)</f>
        <v>1</v>
      </c>
      <c r="G59" s="18">
        <f>IF($D$16&gt;0,INT(G58/$D$16),0)</f>
        <v>1</v>
      </c>
      <c r="H59" s="2" t="s">
        <v>101</v>
      </c>
    </row>
    <row r="60" spans="2:7" x14ac:dyDescent="0.25">
      <c r="B60" s="17" t="s">
        <v>102</v>
      </c>
      <c r="D60" s="13">
        <f>$G$30+D57</f>
        <v>11300000</v>
      </c>
      <c r="E60" s="13">
        <f>$G$30+E57</f>
        <v>12800000</v>
      </c>
      <c r="F60" s="13">
        <f>$G$30+F57</f>
        <v>13600000</v>
      </c>
      <c r="G60" s="13">
        <f>$G$30+G57</f>
        <v>14300000</v>
      </c>
    </row>
    <row r="61" spans="2:8" x14ac:dyDescent="0.25">
      <c r="B61" s="17" t="s">
        <v>103</v>
      </c>
      <c r="D61" s="13">
        <f>D60/D58</f>
        <v>1130000</v>
      </c>
      <c r="E61" s="13">
        <f>E60/E58</f>
        <v>853333.333333333</v>
      </c>
      <c r="F61" s="13">
        <f>F60/F58</f>
        <v>680000</v>
      </c>
      <c r="G61" s="13">
        <f>G60/G58</f>
        <v>476666.666666667</v>
      </c>
      <c r="H61" s="2" t="s">
        <v>104</v>
      </c>
    </row>
    <row r="62" spans="2:7" x14ac:dyDescent="0.25">
      <c r="B62" s="17" t="s">
        <v>105</v>
      </c>
      <c r="D62" s="13">
        <f>$G$43</f>
        <v>2110000</v>
      </c>
      <c r="E62" s="13">
        <f>$G$43</f>
        <v>2110000</v>
      </c>
      <c r="F62" s="13">
        <f>$G$43</f>
        <v>2110000</v>
      </c>
      <c r="G62" s="13">
        <f>$G$43</f>
        <v>2110000</v>
      </c>
    </row>
    <row r="63" spans="2:8" x14ac:dyDescent="0.25">
      <c r="B63" s="17" t="s">
        <v>106</v>
      </c>
      <c r="D63" s="13">
        <f>D59*$G$43/D58</f>
        <v>0</v>
      </c>
      <c r="E63" s="13">
        <f>E59*$G$43/E58</f>
        <v>0</v>
      </c>
      <c r="F63" s="13">
        <f>F59*$G$43/F58</f>
        <v>105500</v>
      </c>
      <c r="G63" s="13">
        <f>G59*$G$43/G58</f>
        <v>70333.3333333333</v>
      </c>
      <c r="H63" s="2" t="s">
        <v>107</v>
      </c>
    </row>
    <row r="64" spans="2:7" x14ac:dyDescent="0.25">
      <c r="B64" s="4" t="s">
        <v>108</v>
      </c>
      <c r="D64" s="14">
        <f>D61+D62+D63</f>
        <v>3240000</v>
      </c>
      <c r="E64" s="14">
        <f>E61+E62+E63</f>
        <v>2963333.33333333</v>
      </c>
      <c r="F64" s="14">
        <f>F61+F62+F63</f>
        <v>2895500</v>
      </c>
      <c r="G64" s="14">
        <f>G61+G62+G63</f>
        <v>2657000</v>
      </c>
    </row>
    <row r="65" spans="2:7" x14ac:dyDescent="0.25">
      <c r="B65" s="17" t="s">
        <v>109</v>
      </c>
      <c r="D65" s="13">
        <f>IF($D$15="Trên giá vốn",D64*(1+$D$14),D64/(1-$D$14))*(1+$D$19)</f>
        <v>3681818.18181818</v>
      </c>
      <c r="E65" s="13">
        <f>IF($D$15="Trên giá vốn",E64*(1+$D$14),E64/(1-$D$14))*(1+$D$19)</f>
        <v>3367424.24242424</v>
      </c>
      <c r="F65" s="13">
        <f>IF($D$15="Trên giá vốn",F64*(1+$D$14),F64/(1-$D$14))*(1+$D$19)</f>
        <v>3290340.90909091</v>
      </c>
      <c r="G65" s="13">
        <f>IF($D$15="Trên giá vốn",G64*(1+$D$14),G64/(1-$D$14))*(1+$D$19)</f>
        <v>3019318.18181818</v>
      </c>
    </row>
    <row r="66" spans="2:8" x14ac:dyDescent="0.25">
      <c r="B66" s="4" t="s">
        <v>110</v>
      </c>
      <c r="D66" s="19">
        <f>ROUNDUP(D65/$D$17,0)*$D$17</f>
        <v>3700000</v>
      </c>
      <c r="E66" s="19">
        <f>ROUNDUP(E65/$D$17,0)*$D$17</f>
        <v>3400000</v>
      </c>
      <c r="F66" s="19">
        <f>ROUNDUP(F65/$D$17,0)*$D$17</f>
        <v>3300000</v>
      </c>
      <c r="G66" s="19">
        <f>ROUNDUP(G65/$D$17,0)*$D$17</f>
        <v>3050000</v>
      </c>
      <c r="H66" s="2" t="s">
        <v>111</v>
      </c>
    </row>
    <row r="67" spans="2:8" x14ac:dyDescent="0.25">
      <c r="B67" s="17" t="s">
        <v>112</v>
      </c>
      <c r="D67" s="13">
        <f>D66/(1+$D$19)-D64</f>
        <v>460000</v>
      </c>
      <c r="E67" s="13">
        <f>E66/(1+$D$19)-E64</f>
        <v>436666.666666667</v>
      </c>
      <c r="F67" s="13">
        <f>F66/(1+$D$19)-F64</f>
        <v>404500</v>
      </c>
      <c r="G67" s="13">
        <f>G66/(1+$D$19)-G64</f>
        <v>393000</v>
      </c>
      <c r="H67" s="2" t="s">
        <v>113</v>
      </c>
    </row>
    <row r="68" spans="2:7" x14ac:dyDescent="0.25">
      <c r="B68" s="17" t="s">
        <v>114</v>
      </c>
      <c r="D68" s="20">
        <f>IF(D66=0,0,D67/(D66/(1+$D$19)))</f>
        <v>0.124324324324324</v>
      </c>
      <c r="E68" s="20">
        <f>IF(E66=0,0,E67/(E66/(1+$D$19)))</f>
        <v>0.12843137254902</v>
      </c>
      <c r="F68" s="20">
        <f>IF(F66=0,0,F67/(F66/(1+$D$19)))</f>
        <v>0.122575757575758</v>
      </c>
      <c r="G68" s="20">
        <f>IF(G66=0,0,G67/(G66/(1+$D$19)))</f>
        <v>0.128852459016393</v>
      </c>
    </row>
    <row r="70" ht="20" customHeight="1" spans="1:8" x14ac:dyDescent="0.25">
      <c r="A70" s="3" t="s">
        <v>115</v>
      </c>
      <c r="B70" s="3"/>
      <c r="C70" s="3"/>
      <c r="D70" s="3"/>
      <c r="E70" s="3"/>
      <c r="F70" s="3"/>
      <c r="G70" s="3"/>
      <c r="H70" s="3"/>
    </row>
    <row r="71" spans="2:8" x14ac:dyDescent="0.25">
      <c r="B71" s="4" t="s">
        <v>116</v>
      </c>
      <c r="D71" s="8">
        <v>22</v>
      </c>
      <c r="H71" s="2" t="s">
        <v>117</v>
      </c>
    </row>
    <row r="72" spans="2:8" x14ac:dyDescent="0.25">
      <c r="B72" s="17" t="s">
        <v>118</v>
      </c>
      <c r="D72" s="18">
        <f>IF(OR(D71&lt;D54,D71&gt;G55),0,MATCH(D71,D54:G54,1))</f>
        <v>3</v>
      </c>
      <c r="H72" s="2" t="s">
        <v>119</v>
      </c>
    </row>
    <row r="73" spans="2:4" x14ac:dyDescent="0.25">
      <c r="B73" s="17" t="s">
        <v>120</v>
      </c>
      <c r="D73" s="13">
        <f>IF(D72=0,0,INDEX(D66:G66,1,D72))</f>
        <v>3300000</v>
      </c>
    </row>
    <row r="74" spans="2:4" x14ac:dyDescent="0.25">
      <c r="B74" s="17" t="s">
        <v>100</v>
      </c>
      <c r="D74" s="18">
        <f>IF(D16&gt;0,INT(D71/D16),0)</f>
        <v>1</v>
      </c>
    </row>
    <row r="75" spans="2:4" x14ac:dyDescent="0.25">
      <c r="B75" s="17" t="s">
        <v>121</v>
      </c>
      <c r="D75" s="13">
        <f>D73*D71/(1+D19)</f>
        <v>72600000</v>
      </c>
    </row>
    <row r="76" spans="2:4" x14ac:dyDescent="0.25">
      <c r="B76" s="17" t="s">
        <v>122</v>
      </c>
      <c r="D76" s="13">
        <f>IF(D72=0,0,G30+INDEX(D57:G57,1,D72)+G43*(D71+D74))</f>
        <v>62130000</v>
      </c>
    </row>
    <row r="77" spans="2:8" x14ac:dyDescent="0.25">
      <c r="B77" s="4" t="s">
        <v>123</v>
      </c>
      <c r="D77" s="14">
        <f>D75-D76</f>
        <v>10470000</v>
      </c>
      <c r="H77" s="2" t="s">
        <v>124</v>
      </c>
    </row>
    <row r="78" spans="2:4" x14ac:dyDescent="0.25">
      <c r="B78" s="4" t="s">
        <v>125</v>
      </c>
      <c r="D78" s="21">
        <f>IF(D75=0,0,D77/D75)</f>
        <v>0.144214876033058</v>
      </c>
    </row>
  </sheetData>
  <mergeCells count="13">
    <mergeCell ref="A1:H1"/>
    <mergeCell ref="A2:H2"/>
    <mergeCell ref="A3:H3"/>
    <mergeCell ref="A5:H5"/>
    <mergeCell ref="D6:G6"/>
    <mergeCell ref="D7:G7"/>
    <mergeCell ref="D11:G11"/>
    <mergeCell ref="A13:H13"/>
    <mergeCell ref="A21:H21"/>
    <mergeCell ref="A32:H32"/>
    <mergeCell ref="A45:H45"/>
    <mergeCell ref="A52:H52"/>
    <mergeCell ref="A70:H70"/>
  </mergeCells>
  <dataValidations count="2">
    <dataValidation type="list" sqref="D15">
      <formula1>"Trên giá bán,Trên giá vốn"</formula1>
    </dataValidation>
    <dataValidation type="list" sqref="D18">
      <formula1>"Có,Không"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10" customWidth="1"/>
  </cols>
  <sheetData>
    <row r="1" spans="1:2" x14ac:dyDescent="0.25">
      <c r="A1" s="22" t="s">
        <v>52</v>
      </c>
      <c r="B1" s="23" t="s">
        <v>126</v>
      </c>
    </row>
    <row r="2" spans="1:2" x14ac:dyDescent="0.25">
      <c r="A2" s="22" t="s">
        <v>52</v>
      </c>
      <c r="B2" s="24" t="s">
        <v>52</v>
      </c>
    </row>
    <row r="3" spans="1:2" x14ac:dyDescent="0.25">
      <c r="A3" s="22" t="s">
        <v>127</v>
      </c>
      <c r="B3" s="24" t="s">
        <v>128</v>
      </c>
    </row>
    <row r="4" spans="1:2" x14ac:dyDescent="0.25">
      <c r="A4" s="22" t="s">
        <v>129</v>
      </c>
      <c r="B4" s="24" t="s">
        <v>130</v>
      </c>
    </row>
    <row r="5" spans="1:2" x14ac:dyDescent="0.25">
      <c r="A5" s="22" t="s">
        <v>131</v>
      </c>
      <c r="B5" s="24" t="s">
        <v>132</v>
      </c>
    </row>
    <row r="6" spans="1:2" x14ac:dyDescent="0.25">
      <c r="A6" s="22" t="s">
        <v>133</v>
      </c>
      <c r="B6" s="24" t="s">
        <v>134</v>
      </c>
    </row>
    <row r="7" spans="1:2" x14ac:dyDescent="0.25">
      <c r="A7" s="22" t="s">
        <v>135</v>
      </c>
      <c r="B7" s="24" t="s">
        <v>136</v>
      </c>
    </row>
    <row r="8" spans="1:2" x14ac:dyDescent="0.25">
      <c r="A8" s="22" t="s">
        <v>137</v>
      </c>
      <c r="B8" s="24" t="s">
        <v>138</v>
      </c>
    </row>
    <row r="9" spans="1:2" x14ac:dyDescent="0.25">
      <c r="A9" s="22" t="s">
        <v>139</v>
      </c>
      <c r="B9" s="24" t="s">
        <v>140</v>
      </c>
    </row>
    <row r="10" spans="1:2" x14ac:dyDescent="0.25">
      <c r="A10" s="22" t="s">
        <v>141</v>
      </c>
      <c r="B10" s="24" t="s">
        <v>142</v>
      </c>
    </row>
    <row r="11" spans="1:2" x14ac:dyDescent="0.25">
      <c r="A11" s="22" t="s">
        <v>52</v>
      </c>
      <c r="B11" s="24" t="s">
        <v>52</v>
      </c>
    </row>
    <row r="12" spans="1:2" x14ac:dyDescent="0.25">
      <c r="A12" s="22" t="s">
        <v>52</v>
      </c>
      <c r="B12" s="24" t="s">
        <v>143</v>
      </c>
    </row>
    <row r="13" spans="1:2" x14ac:dyDescent="0.25">
      <c r="A13" s="22" t="s">
        <v>52</v>
      </c>
      <c r="B13" s="24" t="s">
        <v>144</v>
      </c>
    </row>
    <row r="14" spans="1:2" x14ac:dyDescent="0.25">
      <c r="A14" s="22" t="s">
        <v>52</v>
      </c>
      <c r="B14" s="24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Chiết tính</vt:lpstr>
      <vt:lpstr>Hướng dẫn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TourWell (tourwell.vn)</dc:creator>
  <dc:title/>
  <dc:subject/>
  <dc:description/>
  <cp:keywords/>
  <cp:category/>
  <cp:lastModifiedBy>Unknown</cp:lastModifiedBy>
  <dcterms:created xsi:type="dcterms:W3CDTF">2026-10-27T00:00:00Z</dcterms:created>
  <dcterms:modified xsi:type="dcterms:W3CDTF">2026-10-27T06:22:42Z</dcterms:modified>
</cp:coreProperties>
</file>